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xr:revisionPtr revIDLastSave="0" documentId="13_ncr:1_{93AD099C-0E88-4C76-A373-6F26B887C014}" xr6:coauthVersionLast="47" xr6:coauthVersionMax="47" xr10:uidLastSave="{00000000-0000-0000-0000-000000000000}"/>
  <bookViews>
    <workbookView xWindow="28680" yWindow="-120" windowWidth="29040" windowHeight="1584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7" l="1"/>
  <c r="O24" i="7"/>
  <c r="N24" i="7"/>
  <c r="M24" i="7"/>
  <c r="L24" i="7"/>
  <c r="K24" i="7"/>
  <c r="J24" i="7"/>
  <c r="I24" i="7"/>
  <c r="H24" i="7"/>
  <c r="P23" i="7"/>
  <c r="O23" i="7"/>
  <c r="N23" i="7"/>
  <c r="M23" i="7"/>
  <c r="L23" i="7"/>
  <c r="K23" i="7"/>
  <c r="J23" i="7"/>
  <c r="I23" i="7"/>
  <c r="H23" i="7"/>
  <c r="P22" i="7"/>
  <c r="O22" i="7"/>
  <c r="N22" i="7"/>
  <c r="M22" i="7"/>
  <c r="L22" i="7"/>
  <c r="K22" i="7"/>
  <c r="J22" i="7"/>
  <c r="I22" i="7"/>
  <c r="H22" i="7"/>
  <c r="P21" i="7"/>
  <c r="O21" i="7"/>
  <c r="N21" i="7"/>
  <c r="M21" i="7"/>
  <c r="L21" i="7"/>
  <c r="K21" i="7"/>
  <c r="J21" i="7"/>
  <c r="I21" i="7"/>
  <c r="H21" i="7"/>
  <c r="P20" i="7"/>
  <c r="O20" i="7"/>
  <c r="N20" i="7"/>
  <c r="M20" i="7"/>
  <c r="L20" i="7"/>
  <c r="K20" i="7"/>
  <c r="J20" i="7"/>
  <c r="I20" i="7"/>
  <c r="H20" i="7"/>
  <c r="P19" i="7"/>
  <c r="O19" i="7"/>
  <c r="N19" i="7"/>
  <c r="M19" i="7"/>
  <c r="L19" i="7"/>
  <c r="K19" i="7"/>
  <c r="J19" i="7"/>
  <c r="I19" i="7"/>
  <c r="H19" i="7"/>
  <c r="P18" i="7"/>
  <c r="O18" i="7"/>
  <c r="N18" i="7"/>
  <c r="M18" i="7"/>
  <c r="L18" i="7"/>
  <c r="K18" i="7"/>
  <c r="J18" i="7"/>
  <c r="I18" i="7"/>
  <c r="H18" i="7"/>
  <c r="P17" i="7"/>
  <c r="O17" i="7"/>
  <c r="N17" i="7"/>
  <c r="M17" i="7"/>
  <c r="L17" i="7"/>
  <c r="K17" i="7"/>
  <c r="J17" i="7"/>
  <c r="I17" i="7"/>
  <c r="H17" i="7"/>
  <c r="P16" i="7"/>
  <c r="O16" i="7"/>
  <c r="N16" i="7"/>
  <c r="M16" i="7"/>
  <c r="L16" i="7"/>
  <c r="K16" i="7"/>
  <c r="J16" i="7"/>
  <c r="I16" i="7"/>
  <c r="H16" i="7"/>
  <c r="P15" i="7"/>
  <c r="O15" i="7"/>
  <c r="N15" i="7"/>
  <c r="M15" i="7"/>
  <c r="L15" i="7"/>
  <c r="K15" i="7"/>
  <c r="J15" i="7"/>
  <c r="I15" i="7"/>
  <c r="H15" i="7"/>
  <c r="P14" i="7"/>
  <c r="O14" i="7"/>
  <c r="N14" i="7"/>
  <c r="M14" i="7"/>
  <c r="L14" i="7"/>
  <c r="K14" i="7"/>
  <c r="J14" i="7"/>
  <c r="I14" i="7"/>
  <c r="H14" i="7"/>
  <c r="P13" i="7"/>
  <c r="O13" i="7"/>
  <c r="N13" i="7"/>
  <c r="M13" i="7"/>
  <c r="L13" i="7"/>
  <c r="K13" i="7"/>
  <c r="J13" i="7"/>
  <c r="I13" i="7"/>
  <c r="H13" i="7"/>
  <c r="P12" i="7"/>
  <c r="O12" i="7"/>
  <c r="N12" i="7"/>
  <c r="M12" i="7"/>
  <c r="L12" i="7"/>
  <c r="K12" i="7"/>
  <c r="J12" i="7"/>
  <c r="I12" i="7"/>
  <c r="H12" i="7"/>
  <c r="E7" i="17"/>
  <c r="E6" i="17"/>
  <c r="E4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J21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N21" i="18" l="1"/>
  <c r="G21" i="18"/>
  <c r="K21" i="18"/>
  <c r="L21" i="18"/>
  <c r="I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E21" i="18"/>
  <c r="F70" i="17"/>
  <c r="G70" i="17"/>
  <c r="H70" i="17"/>
  <c r="I70" i="17"/>
  <c r="J70" i="17"/>
  <c r="K70" i="17"/>
  <c r="L70" i="17"/>
  <c r="M70" i="17"/>
  <c r="N70" i="17"/>
  <c r="E70" i="17"/>
  <c r="H55" i="18" l="1"/>
  <c r="F55" i="18"/>
  <c r="M55" i="18"/>
  <c r="L55" i="18"/>
  <c r="I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0" i="7"/>
  <c r="X23" i="7"/>
  <c r="X13" i="7"/>
  <c r="X11" i="7"/>
  <c r="X22" i="7"/>
  <c r="X21" i="7"/>
  <c r="X19" i="7"/>
  <c r="X16" i="7"/>
  <c r="X15" i="7"/>
  <c r="X17" i="7"/>
  <c r="X24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3" i="7" l="1"/>
  <c r="F12" i="7"/>
  <c r="N11" i="7"/>
  <c r="L11" i="7"/>
  <c r="H11" i="7"/>
  <c r="P11" i="7"/>
  <c r="M11" i="7"/>
  <c r="O11" i="7"/>
  <c r="J11" i="7"/>
  <c r="K11" i="7"/>
  <c r="I11" i="7"/>
  <c r="F23" i="7"/>
  <c r="F21" i="7"/>
  <c r="F20" i="7"/>
  <c r="F19" i="7"/>
  <c r="F17" i="7"/>
  <c r="F15" i="7"/>
  <c r="F24" i="7"/>
  <c r="F22" i="7"/>
  <c r="F18" i="7"/>
  <c r="F16" i="7"/>
  <c r="F14" i="7"/>
  <c r="F11" i="7"/>
  <c r="M8" i="4"/>
  <c r="M7" i="4"/>
  <c r="C5" i="1"/>
  <c r="D6" i="15"/>
  <c r="D6" i="7"/>
  <c r="Q18" i="7" l="1"/>
  <c r="Q13" i="7"/>
  <c r="Q15" i="7"/>
  <c r="Q11" i="7"/>
  <c r="Q12" i="7"/>
  <c r="Q24" i="7"/>
  <c r="Q23" i="7"/>
  <c r="Q16" i="7"/>
  <c r="Q20" i="7"/>
  <c r="Q19" i="7"/>
  <c r="Q14" i="7"/>
  <c r="Q17" i="7"/>
  <c r="Q21" i="7"/>
  <c r="Q22" i="7"/>
  <c r="C41" i="7"/>
  <c r="C29" i="7"/>
  <c r="C14" i="7"/>
  <c r="C12" i="7"/>
  <c r="C19" i="7"/>
  <c r="C24" i="7"/>
  <c r="C31" i="7"/>
  <c r="C32" i="7"/>
  <c r="C16" i="7"/>
  <c r="C23" i="7"/>
  <c r="C28" i="7"/>
  <c r="C34" i="7"/>
  <c r="C15" i="7"/>
  <c r="C39" i="7"/>
  <c r="C36" i="7"/>
  <c r="C17" i="7"/>
  <c r="C33" i="7"/>
  <c r="C38" i="7"/>
  <c r="C27" i="7"/>
  <c r="C30" i="7"/>
  <c r="C13" i="7"/>
  <c r="C21" i="7"/>
  <c r="C18" i="7"/>
  <c r="C35" i="7"/>
  <c r="C20" i="7"/>
  <c r="C40" i="7"/>
  <c r="C22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<sst xmlns="http://schemas.openxmlformats.org/spreadsheetml/2006/main" count="1397" uniqueCount="680">
  <si>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</si>
  <si>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</si>
  <si>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</si>
  <si>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</si>
  <si>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</si>
  <si>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</si>
  <si>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</si>
  <si>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</si>
  <si>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</si>
  <si>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</si>
  <si>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</si>
  <si>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</si>
  <si>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</si>
  <si>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</si>
  <si>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</si>
  <si>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</si>
  <si>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</si>
  <si>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</si>
  <si>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</si>
  <si>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</si>
  <si>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</si>
  <si>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</si>
  <si>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</si>
  <si>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</si>
  <si>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</si>
  <si>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</si>
  <si>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</si>
  <si>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</si>
  <si>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</si>
  <si>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</si>
  <si>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</si>
  <si>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</si>
  <si>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</si>
  <si>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</si>
  <si>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</si>
  <si>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</si>
  <si>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</si>
  <si>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</si>
  <si>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</si>
  <si>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</si>
  <si>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</si>
  <si>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</si>
  <si>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</si>
  <si>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</si>
  <si>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</si>
  <si>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</si>
  <si>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</si>
  <si>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</si>
  <si>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</si>
  <si>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</si>
  <si>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</si>
  <si>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</si>
  <si>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</si>
  <si>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</si>
  <si>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</si>
  <si>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</si>
  <si>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</si>
  <si>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</si>
  <si>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</si>
  <si>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</si>
  <si>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</si>
  <si>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</si>
  <si>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</si>
  <si>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</si>
  <si>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</si>
  <si>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</si>
  <si>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</si>
  <si>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</si>
  <si>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</si>
  <si>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</si>
  <si>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</si>
  <si>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</si>
  <si>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</si>
  <si>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</si>
  <si>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</si>
  <si>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</si>
  <si>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</si>
  <si>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</si>
  <si>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</si>
  <si>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</si>
  <si>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</si>
  <si>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</si>
  <si>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</si>
  <si>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</si>
  <si>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</si>
  <si>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</si>
  <si>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</si>
  <si>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</si>
  <si>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</si>
  <si>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</si>
  <si>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</si>
  <si>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</si>
  <si>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</si>
  <si>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</si>
  <si>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</si>
  <si>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</si>
  <si>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</si>
  <si>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</si>
  <si>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</si>
  <si>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</si>
  <si>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</si>
  <si>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</si>
  <si>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</si>
  <si>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</si>
  <si>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</si>
  <si>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</si>
  <si>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</si>
  <si>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</si>
  <si>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</si>
  <si>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</si>
  <si>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</si>
  <si>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</si>
  <si>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</si>
  <si>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</si>
  <si>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</si>
  <si>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</si>
  <si>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</si>
  <si>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</si>
  <si>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</si>
  <si>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</si>
  <si>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</si>
  <si>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</si>
  <si>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</si>
  <si>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</si>
  <si>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</si>
  <si>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</si>
  <si>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</si>
  <si>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</si>
  <si>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</si>
  <si>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</si>
  <si>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</si>
  <si>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</si>
  <si>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</si>
  <si>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</si>
  <si>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</si>
  <si>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</si>
  <si>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</si>
  <si>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</si>
  <si>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</si>
  <si>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</si>
  <si>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</si>
  <si>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</si>
  <si>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</si>
  <si>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</si>
  <si>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</si>
  <si>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</si>
  <si>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</si>
  <si>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</si>
  <si>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</si>
  <si>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</si>
  <si>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</si>
  <si>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</si>
  <si>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</si>
  <si>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</si>
  <si>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</si>
  <si>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</si>
  <si>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</si>
  <si>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</si>
  <si>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</si>
  <si>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</si>
  <si>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</si>
  <si>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</si>
  <si>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</si>
  <si>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</si>
  <si>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</si>
  <si>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</si>
  <si>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</si>
  <si>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</si>
  <si>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</si>
  <si>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</si>
  <si>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</si>
  <si>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</si>
  <si>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</si>
  <si>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</si>
  <si>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</si>
  <si>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</si>
  <si>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</si>
  <si>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</si>
  <si>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</si>
  <si>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</si>
  <si>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</si>
  <si>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</si>
  <si>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</si>
  <si>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</si>
  <si>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</si>
  <si>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</si>
  <si>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</si>
  <si>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</si>
  <si>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</si>
  <si>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</si>
  <si>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</si>
  <si>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</si>
  <si>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</si>
  <si>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</si>
  <si>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</si>
  <si>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</si>
  <si>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</si>
  <si>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</si>
  <si>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</si>
  <si>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</si>
  <si>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</si>
  <si>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</si>
  <si>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</si>
  <si>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</si>
  <si>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</si>
  <si>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</si>
  <si>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</si>
  <si>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</si>
  <si>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</si>
  <si>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</si>
  <si>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</si>
  <si>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</si>
  <si>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</si>
  <si>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</si>
  <si>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</si>
  <si>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</si>
  <si>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</si>
  <si>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</si>
  <si>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</si>
  <si>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</si>
  <si>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</si>
  <si>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</si>
  <si>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</si>
  <si>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</si>
  <si>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</si>
  <si>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</si>
  <si>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</si>
  <si>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</si>
  <si>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</si>
  <si>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</si>
  <si>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</si>
  <si>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</si>
  <si>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</si>
  <si>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</si>
  <si>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</si>
  <si>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</si>
  <si>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</si>
  <si>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</si>
  <si>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</si>
  <si>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</si>
  <si>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</si>
  <si>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</si>
  <si>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</si>
  <si>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</si>
  <si>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</si>
  <si>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</si>
  <si>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</si>
  <si>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</si>
  <si>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</si>
  <si>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</si>
  <si>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</si>
  <si>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</si>
  <si>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</si>
  <si>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</si>
  <si>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</si>
  <si>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</si>
  <si>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</si>
  <si>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</si>
  <si>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</si>
  <si>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</si>
  <si>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</si>
  <si>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</si>
  <si>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</si>
  <si>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</si>
  <si>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</si>
  <si>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</si>
  <si>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</si>
  <si>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</si>
  <si>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</si>
  <si>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</si>
  <si>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</si>
  <si>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</si>
  <si>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</si>
  <si>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</si>
  <si>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</si>
  <si>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</si>
  <si>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</si>
  <si>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</si>
  <si>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</si>
  <si>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</si>
  <si>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</si>
  <si>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</si>
  <si>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</si>
  <si>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</si>
  <si>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</si>
  <si>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</si>
  <si>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</si>
  <si>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</si>
  <si>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</si>
  <si>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</si>
  <si>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</si>
  <si>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</si>
  <si>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</si>
  <si>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</si>
  <si>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</si>
  <si>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</si>
  <si>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</si>
  <si>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</si>
  <si>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</si>
  <si>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</si>
  <si>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</si>
  <si>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</si>
  <si>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</si>
  <si>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</si>
  <si>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</si>
  <si>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</si>
  <si>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</si>
  <si>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</si>
  <si>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</si>
  <si>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</si>
  <si>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</si>
  <si>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</si>
  <si>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</si>
  <si>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</si>
  <si>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</si>
  <si>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</si>
  <si>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</si>
  <si>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</si>
  <si>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</si>
  <si>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</si>
  <si>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</si>
  <si>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</si>
  <si>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</si>
  <si>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</si>
  <si>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</si>
  <si>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</si>
  <si>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</si>
  <si>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</si>
  <si>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</si>
  <si>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</si>
  <si>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</si>
  <si>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</si>
  <si>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</si>
  <si>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</si>
  <si>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</si>
  <si>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</si>
  <si>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</si>
  <si>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</si>
  <si>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</si>
  <si>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</si>
  <si>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</si>
  <si>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</si>
  <si>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</si>
  <si>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</si>
  <si>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</si>
  <si>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</si>
  <si>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</si>
  <si>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</si>
  <si>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</si>
  <si>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</si>
  <si>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</si>
  <si>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</si>
  <si>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</si>
  <si>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</si>
  <si>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</si>
  <si>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</si>
  <si>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</si>
  <si>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</si>
  <si>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</si>
  <si>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</si>
  <si>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</si>
  <si>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</si>
  <si>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</si>
  <si>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</si>
  <si>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</si>
  <si>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</si>
  <si>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</si>
  <si>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</si>
  <si>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</si>
  <si>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</si>
  <si>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</si>
  <si>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</si>
  <si>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</si>
  <si>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</si>
  <si>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</si>
  <si>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</si>
  <si>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</si>
  <si>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</si>
  <si>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</si>
  <si>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</si>
  <si>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</si>
  <si>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</si>
  <si>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</si>
  <si>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</si>
  <si>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</si>
  <si>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</si>
  <si>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</si>
  <si>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</si>
  <si>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</si>
  <si>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</si>
  <si>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</si>
  <si>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</si>
  <si>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</si>
  <si>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</si>
  <si>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</si>
  <si>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</si>
  <si>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</si>
  <si>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</si>
  <si>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</si>
  <si>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</si>
  <si>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</si>
  <si>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</si>
  <si>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</si>
  <si>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</si>
  <si>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</si>
  <si>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</si>
  <si>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</si>
  <si>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</si>
  <si>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</si>
  <si>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</si>
  <si>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</si>
  <si>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</si>
  <si>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</si>
  <si>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</si>
  <si>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</si>
  <si>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</si>
  <si>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</si>
  <si>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</si>
  <si>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</si>
  <si>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</si>
  <si>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</si>
  <si>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</si>
  <si>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</si>
  <si>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</si>
  <si>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</si>
  <si>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</si>
  <si>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</si>
  <si>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</si>
  <si>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</si>
  <si>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</si>
  <si>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</si>
  <si>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</si>
  <si>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</si>
  <si>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</si>
  <si>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</si>
  <si>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</si>
  <si>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</si>
  <si>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</si>
  <si>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</si>
  <si>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</si>
  <si>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</si>
  <si>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</si>
  <si>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</si>
  <si>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</si>
  <si>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</si>
  <si>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</si>
  <si>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</si>
  <si>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</si>
  <si>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</si>
  <si>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</si>
  <si>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</si>
  <si>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</si>
  <si>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</si>
  <si>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</si>
  <si>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</si>
  <si>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</si>
  <si>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</si>
  <si>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</si>
  <si>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</si>
  <si>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</si>
  <si>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</si>
  <si>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</si>
  <si>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</si>
  <si>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</si>
  <si>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</si>
  <si>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</si>
  <si>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</si>
  <si>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</si>
  <si>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</si>
  <si>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</si>
  <si>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</si>
  <si>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</si>
  <si>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</si>
  <si>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</si>
  <si>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</si>
  <si>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</si>
  <si>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</si>
  <si>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</si>
  <si>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</si>
  <si>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</si>
  <si>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</si>
  <si>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</si>
  <si>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</si>
  <si>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</si>
  <si>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</si>
  <si>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</si>
  <si>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</si>
  <si>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</si>
  <si>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</si>
  <si>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</si>
  <si>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</si>
  <si>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</si>
  <si>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</si>
  <si>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</si>
  <si>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</si>
  <si>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</si>
  <si>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</si>
  <si>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</si>
  <si>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</si>
  <si>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</si>
  <si>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</si>
  <si>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</si>
  <si>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</si>
  <si>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</si>
  <si>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</si>
  <si>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</si>
  <si>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</si>
  <si>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</si>
  <si>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</si>
  <si>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</si>
  <si>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</si>
  <si>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</si>
  <si>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</si>
  <si>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</si>
  <si>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</si>
  <si>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</si>
  <si>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</si>
  <si>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</si>
  <si>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</si>
  <si>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</si>
  <si>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</si>
  <si>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</si>
  <si>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</si>
  <si>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</si>
  <si>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</si>
  <si>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</si>
  <si>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</si>
  <si>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</si>
  <si>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</si>
  <si>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</si>
  <si>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</si>
  <si>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</si>
  <si>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</si>
  <si>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</si>
  <si>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</si>
  <si>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</si>
  <si>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</si>
  <si>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</si>
  <si>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</si>
  <si>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</si>
  <si>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</si>
  <si>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</si>
  <si>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</si>
  <si>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</si>
  <si>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</si>
  <si>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</si>
  <si>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</si>
  <si>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</si>
  <si>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</si>
  <si>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</si>
  <si>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</si>
  <si>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</si>
  <si>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</si>
  <si>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</si>
  <si>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</si>
  <si>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</si>
  <si>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</si>
  <si>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</si>
  <si>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</si>
  <si>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</si>
  <si>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</si>
  <si>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</si>
  <si>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</si>
  <si>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</si>
  <si>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</si>
  <si>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</si>
  <si>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</si>
  <si>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</si>
  <si>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</si>
  <si>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</si>
  <si>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</si>
  <si>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</si>
  <si>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</si>
  <si>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</si>
  <si>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</si>
  <si>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</si>
  <si>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</si>
  <si>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</si>
  <si>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</si>
  <si>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</si>
  <si>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</si>
  <si>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</si>
  <si>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</si>
  <si>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</si>
  <si>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</si>
  <si>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</si>
  <si>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</si>
  <si>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</si>
  <si>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</si>
  <si>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</si>
  <si>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</si>
  <si>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</si>
  <si>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</si>
  <si>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</si>
  <si>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</si>
  <si>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</si>
  <si>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</si>
  <si>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</si>
  <si>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</si>
  <si>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</si>
  <si>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</si>
  <si>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</si>
  <si>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</si>
  <si>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</si>
  <si>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</si>
  <si>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</si>
  <si>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</si>
  <si>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</si>
  <si>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</si>
  <si>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</si>
  <si>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</si>
  <si>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</si>
  <si>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</si>
  <si>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</si>
  <si>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</si>
  <si>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</si>
  <si>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</si>
  <si>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</si>
  <si>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</si>
  <si>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</si>
  <si>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</si>
  <si>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</si>
  <si>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</si>
  <si>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</si>
  <si>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</si>
  <si>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</si>
  <si>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</si>
  <si>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</si>
  <si>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</si>
  <si>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</si>
  <si>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</si>
  <si>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</si>
  <si>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</si>
  <si>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</si>
  <si>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</si>
  <si>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</si>
  <si>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</si>
  <si>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</si>
  <si>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</si>
  <si>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</si>
  <si>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</si>
  <si>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</si>
  <si>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</si>
  <si>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</si>
  <si>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</si>
  <si>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</si>
  <si>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</si>
  <si>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</si>
  <si>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</si>
  <si>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</si>
  <si>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</si>
  <si>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</si>
  <si>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</si>
  <si>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</si>
  <si>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</si>
  <si>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</si>
  <si>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</si>
  <si>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DTN</t>
  </si>
  <si>
    <t>9870100500007</t>
  </si>
  <si>
    <t>Untertorstr. 7-9</t>
  </si>
  <si>
    <t>Radolfzell</t>
  </si>
  <si>
    <t>Team Mako / EDM</t>
  </si>
  <si>
    <t>netznutzung-meldung@stadtwerke-radolfzell.de</t>
  </si>
  <si>
    <t>07732/8008 245</t>
  </si>
  <si>
    <t>Stadtwerke Radolfzell GmbH</t>
  </si>
  <si>
    <t>THE0NKH701005000</t>
  </si>
  <si>
    <t>Radolfzell/Mettnau</t>
  </si>
  <si>
    <t>vantago</t>
  </si>
  <si>
    <t>DE_HEF04</t>
  </si>
  <si>
    <t>DE_HMF04</t>
  </si>
  <si>
    <t>DE_GBA04</t>
  </si>
  <si>
    <t>DE_GBD04</t>
  </si>
  <si>
    <t>DE_GBH04</t>
  </si>
  <si>
    <t>DE_GGA04</t>
  </si>
  <si>
    <t>DE_GGB04</t>
  </si>
  <si>
    <t>DE_GHA04</t>
  </si>
  <si>
    <t>DE_GKO04</t>
  </si>
  <si>
    <t>DE_GMK04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</si>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</sst>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33" borderId="17" xfId="0" quotePrefix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DM\Intern\02_NetzG\02.03_BIL\03.99_Sonstiges\99.03_SLP%20Parameter\Verfahrensspezifische%20Parameter%20SLP\Excel-Tabelle_Verfahrensspezifische%20SLP-Parameter_SW%20Lind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-meldung@stadtwerke-radolfzell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9" sqref="D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45187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45231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664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66" t="s">
        <v>658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659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78315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660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661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67" t="s">
        <v>662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663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499</v>
      </c>
      <c r="E27" s="39"/>
      <c r="F27" s="11"/>
    </row>
    <row r="28" spans="1:15">
      <c r="B28" s="15"/>
      <c r="C28" s="65" t="s">
        <v>499</v>
      </c>
      <c r="D28" s="47" t="s">
        <v>499</v>
      </c>
      <c r="E28" s="38"/>
      <c r="F28" s="11"/>
      <c r="G28" s="2"/>
    </row>
    <row r="29" spans="1:15">
      <c r="B29" s="15"/>
      <c r="C29" s="22" t="s">
        <v>393</v>
      </c>
      <c r="D29" s="44" t="s">
        <v>660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40EF23D5-5928-4551-8D51-B19A2422DD8A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Stadtwerke Radolfzell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Angaben gelten für alle Netzgebiete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9870100500007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45231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665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15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660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J15" sqref="J1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Netzbetreiber!D9</f>
        <v>Stadtwerke Radolfzell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Angaben gelten für alle Netzgebiete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 t="str">
        <f>Netzbetreiber!D11</f>
        <v>9870100500007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f>Netzbetreiber!D6</f>
        <v>45231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Radolfzell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584</v>
      </c>
      <c r="D13" s="351"/>
      <c r="E13" s="351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445</v>
      </c>
      <c r="D14" s="352"/>
      <c r="E14" s="89" t="s">
        <v>446</v>
      </c>
      <c r="F14" s="266" t="s">
        <v>71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2" t="s">
        <v>385</v>
      </c>
      <c r="D15" s="352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657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657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DTN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156" t="s">
        <v>666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10926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655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">
        <v>667</v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DTN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56" t="str">
        <f>E24</f>
        <v>Radolfzell/Mettnau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10926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">
        <v>503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3" t="s">
        <v>580</v>
      </c>
      <c r="D73" s="353"/>
      <c r="E73" s="353"/>
      <c r="F73" s="353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Angaben gelten für alle Netzgebiete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584</v>
      </c>
      <c r="D13" s="351"/>
      <c r="E13" s="351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445</v>
      </c>
      <c r="D14" s="352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2" t="s">
        <v>385</v>
      </c>
      <c r="D15" s="352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3" t="s">
        <v>580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topLeftCell="D1" zoomScale="80" zoomScaleNormal="80" workbookViewId="0">
      <selection activeCell="Z27" sqref="Z2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Stadtwerke Radolfzell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Angaben gelten für alle Netzgebiete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 t="str">
        <f>Netzbetreiber!$D$11</f>
        <v>9870100500007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45231</v>
      </c>
      <c r="E8" s="130"/>
      <c r="F8" s="130"/>
      <c r="H8" s="128" t="s">
        <v>493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Angaben gelten für alle Netzgebiete</v>
      </c>
      <c r="D12" s="62" t="s">
        <v>248</v>
      </c>
      <c r="E12" s="165" t="s">
        <v>668</v>
      </c>
      <c r="F12" s="307" t="str">
        <f>VLOOKUP($E12,'BDEW-Standard'!$B$3:$M$158,F$9,0)</f>
        <v>D14</v>
      </c>
      <c r="H12" s="278">
        <f>ROUND(VLOOKUP($E12,'[1]BDEW-Standard'!$B$3:$M$158,H$9,0),7)</f>
        <v>3.1850190999999999</v>
      </c>
      <c r="I12" s="278">
        <f>ROUND(VLOOKUP($E12,'[1]BDEW-Standard'!$B$3:$M$158,I$9,0),7)</f>
        <v>-37.412415500000002</v>
      </c>
      <c r="J12" s="278">
        <f>ROUND(VLOOKUP($E12,'[1]BDEW-Standard'!$B$3:$M$158,J$9,0),7)</f>
        <v>6.1723179000000004</v>
      </c>
      <c r="K12" s="278">
        <f>ROUND(VLOOKUP($E12,'[1]BDEW-Standard'!$B$3:$M$158,K$9,0),7)</f>
        <v>7.6109599999999999E-2</v>
      </c>
      <c r="L12" s="279">
        <f>ROUND(VLOOKUP($E12,'[1]BDEW-Standard'!$B$3:$M$158,L$9,0),1)</f>
        <v>40</v>
      </c>
      <c r="M12" s="278">
        <f>ROUND(VLOOKUP($E12,'[1]BDEW-Standard'!$B$3:$M$158,M$9,0),7)</f>
        <v>0</v>
      </c>
      <c r="N12" s="278">
        <f>ROUND(VLOOKUP($E12,'[1]BDEW-Standard'!$B$3:$M$158,N$9,0),7)</f>
        <v>0</v>
      </c>
      <c r="O12" s="278">
        <f>ROUND(VLOOKUP($E12,'[1]BDEW-Standard'!$B$3:$M$158,O$9,0),7)</f>
        <v>0</v>
      </c>
      <c r="P12" s="278">
        <f>ROUND(VLOOKUP($E12,'[1]BDEW-Standard'!$B$3:$M$158,P$9,0),7)</f>
        <v>0</v>
      </c>
      <c r="Q12" s="280">
        <f t="shared" ref="Q12:Q19" si="1">($H12/(1+($I12/($Q$9-$L12))^$J12)+$K12)+MAX($M12*$Q$9+$N12,$O12*$Q$9+$P12)</f>
        <v>0.95508749343949439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Angaben gelten für alle Netzgebiete</v>
      </c>
      <c r="D13" s="62" t="s">
        <v>248</v>
      </c>
      <c r="E13" s="165" t="s">
        <v>669</v>
      </c>
      <c r="F13" s="307" t="str">
        <f>VLOOKUP($E13,'BDEW-Standard'!$B$3:$M$158,F$9,0)</f>
        <v>D24</v>
      </c>
      <c r="H13" s="278">
        <f>ROUND(VLOOKUP($E13,'[1]BDEW-Standard'!$B$3:$M$158,H$9,0),7)</f>
        <v>2.5187775000000001</v>
      </c>
      <c r="I13" s="278">
        <f>ROUND(VLOOKUP($E13,'[1]BDEW-Standard'!$B$3:$M$158,I$9,0),7)</f>
        <v>-35.033375399999997</v>
      </c>
      <c r="J13" s="278">
        <f>ROUND(VLOOKUP($E13,'[1]BDEW-Standard'!$B$3:$M$158,J$9,0),7)</f>
        <v>6.2240634000000004</v>
      </c>
      <c r="K13" s="278">
        <f>ROUND(VLOOKUP($E13,'[1]BDEW-Standard'!$B$3:$M$158,K$9,0),7)</f>
        <v>0.10107820000000001</v>
      </c>
      <c r="L13" s="279">
        <f>ROUND(VLOOKUP($E13,'[1]BDEW-Standard'!$B$3:$M$158,L$9,0),1)</f>
        <v>40</v>
      </c>
      <c r="M13" s="278">
        <f>ROUND(VLOOKUP($E13,'[1]BDEW-Standard'!$B$3:$M$158,M$9,0),7)</f>
        <v>0</v>
      </c>
      <c r="N13" s="278">
        <f>ROUND(VLOOKUP($E13,'[1]BDEW-Standard'!$B$3:$M$158,N$9,0),7)</f>
        <v>0</v>
      </c>
      <c r="O13" s="278">
        <f>ROUND(VLOOKUP($E13,'[1]BDEW-Standard'!$B$3:$M$158,O$9,0),7)</f>
        <v>0</v>
      </c>
      <c r="P13" s="278">
        <f>ROUND(VLOOKUP($E13,'[1]BDEW-Standard'!$B$3:$M$158,P$9,0),7)</f>
        <v>0</v>
      </c>
      <c r="Q13" s="280">
        <f t="shared" si="1"/>
        <v>1.0146273685996503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19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Angaben gelten für alle Netzgebiete</v>
      </c>
      <c r="D14" s="62" t="s">
        <v>248</v>
      </c>
      <c r="E14" s="165" t="s">
        <v>670</v>
      </c>
      <c r="F14" s="307" t="str">
        <f>VLOOKUP($E14,'BDEW-Standard'!$B$3:$M$94,F$9,0)</f>
        <v>BA4</v>
      </c>
      <c r="H14" s="278">
        <f>ROUND(VLOOKUP($E14,'[1]BDEW-Standard'!$B$3:$M$158,H$9,0),7)</f>
        <v>0.93158890000000005</v>
      </c>
      <c r="I14" s="278">
        <f>ROUND(VLOOKUP($E14,'[1]BDEW-Standard'!$B$3:$M$158,I$9,0),7)</f>
        <v>-33.35</v>
      </c>
      <c r="J14" s="278">
        <f>ROUND(VLOOKUP($E14,'[1]BDEW-Standard'!$B$3:$M$158,J$9,0),7)</f>
        <v>5.7212303000000002</v>
      </c>
      <c r="K14" s="278">
        <f>ROUND(VLOOKUP($E14,'[1]BDEW-Standard'!$B$3:$M$158,K$9,0),7)</f>
        <v>0.66564939999999995</v>
      </c>
      <c r="L14" s="279">
        <f>ROUND(VLOOKUP($E14,'[1]BDEW-Standard'!$B$3:$M$158,L$9,0),1)</f>
        <v>40</v>
      </c>
      <c r="M14" s="278">
        <f>ROUND(VLOOKUP($E14,'[1]BDEW-Standard'!$B$3:$M$158,M$9,0),7)</f>
        <v>0</v>
      </c>
      <c r="N14" s="278">
        <f>ROUND(VLOOKUP($E14,'[1]BDEW-Standard'!$B$3:$M$158,N$9,0),7)</f>
        <v>0</v>
      </c>
      <c r="O14" s="278">
        <f>ROUND(VLOOKUP($E14,'[1]BDEW-Standard'!$B$3:$M$158,O$9,0),7)</f>
        <v>0</v>
      </c>
      <c r="P14" s="278">
        <f>ROUND(VLOOKUP($E14,'[1]BDEW-Standard'!$B$3:$M$158,P$9,0),7)</f>
        <v>0</v>
      </c>
      <c r="Q14" s="280">
        <f t="shared" si="1"/>
        <v>1.0766391850538448</v>
      </c>
      <c r="R14" s="281">
        <f>ROUND(VLOOKUP(MID($E14,4,3),'Wochentag F(WT)'!$B$7:$J$22,R$9,0),4)</f>
        <v>1.0848</v>
      </c>
      <c r="S14" s="281">
        <f>ROUND(VLOOKUP(MID($E14,4,3),'Wochentag F(WT)'!$B$7:$J$22,S$9,0),4)</f>
        <v>1.1211</v>
      </c>
      <c r="T14" s="281">
        <f>ROUND(VLOOKUP(MID($E14,4,3),'Wochentag F(WT)'!$B$7:$J$22,T$9,0),4)</f>
        <v>1.0769</v>
      </c>
      <c r="U14" s="281">
        <f>ROUND(VLOOKUP(MID($E14,4,3),'Wochentag F(WT)'!$B$7:$J$22,U$9,0),4)</f>
        <v>1.1353</v>
      </c>
      <c r="V14" s="281">
        <f>ROUND(VLOOKUP(MID($E14,4,3),'Wochentag F(WT)'!$B$7:$J$22,V$9,0),4)</f>
        <v>1.1402000000000001</v>
      </c>
      <c r="W14" s="281">
        <f>ROUND(VLOOKUP(MID($E14,4,3),'Wochentag F(WT)'!$B$7:$J$22,W$9,0),4)</f>
        <v>0.48520000000000002</v>
      </c>
      <c r="X14" s="282">
        <f t="shared" si="2"/>
        <v>0.95650000000000013</v>
      </c>
      <c r="Y14" s="303"/>
      <c r="Z14" s="212"/>
    </row>
    <row r="15" spans="2:26" s="143" customFormat="1">
      <c r="B15" s="144">
        <v>4</v>
      </c>
      <c r="C15" s="145" t="str">
        <f t="shared" si="0"/>
        <v>Angaben gelten für alle Netzgebiete</v>
      </c>
      <c r="D15" s="62" t="s">
        <v>248</v>
      </c>
      <c r="E15" s="165" t="s">
        <v>671</v>
      </c>
      <c r="F15" s="307" t="str">
        <f>VLOOKUP($E15,'BDEW-Standard'!$B$3:$M$94,F$9,0)</f>
        <v>BD4</v>
      </c>
      <c r="H15" s="278">
        <f>ROUND(VLOOKUP($E15,'[1]BDEW-Standard'!$B$3:$M$158,H$9,0),7)</f>
        <v>3.75</v>
      </c>
      <c r="I15" s="278">
        <f>ROUND(VLOOKUP($E15,'[1]BDEW-Standard'!$B$3:$M$158,I$9,0),7)</f>
        <v>-37.5</v>
      </c>
      <c r="J15" s="278">
        <f>ROUND(VLOOKUP($E15,'[1]BDEW-Standard'!$B$3:$M$158,J$9,0),7)</f>
        <v>6.8</v>
      </c>
      <c r="K15" s="278">
        <f>ROUND(VLOOKUP($E15,'[1]BDEW-Standard'!$B$3:$M$158,K$9,0),7)</f>
        <v>6.0911300000000002E-2</v>
      </c>
      <c r="L15" s="279">
        <f>ROUND(VLOOKUP($E15,'[1]BDEW-Standard'!$B$3:$M$158,L$9,0),1)</f>
        <v>40</v>
      </c>
      <c r="M15" s="278">
        <f>ROUND(VLOOKUP($E15,'[1]BDEW-Standard'!$B$3:$M$158,M$9,0),7)</f>
        <v>0</v>
      </c>
      <c r="N15" s="278">
        <f>ROUND(VLOOKUP($E15,'[1]BDEW-Standard'!$B$3:$M$158,N$9,0),7)</f>
        <v>0</v>
      </c>
      <c r="O15" s="278">
        <f>ROUND(VLOOKUP($E15,'[1]BDEW-Standard'!$B$3:$M$158,O$9,0),7)</f>
        <v>0</v>
      </c>
      <c r="P15" s="278">
        <f>ROUND(VLOOKUP($E15,'[1]BDEW-Standard'!$B$3:$M$158,P$9,0),7)</f>
        <v>0</v>
      </c>
      <c r="Q15" s="280">
        <f t="shared" si="1"/>
        <v>1.0126136468627658</v>
      </c>
      <c r="R15" s="281">
        <f>ROUND(VLOOKUP(MID($E15,4,3),'Wochentag F(WT)'!$B$7:$J$22,R$9,0),4)</f>
        <v>1.1052</v>
      </c>
      <c r="S15" s="281">
        <f>ROUND(VLOOKUP(MID($E15,4,3),'Wochentag F(WT)'!$B$7:$J$22,S$9,0),4)</f>
        <v>1.0857000000000001</v>
      </c>
      <c r="T15" s="281">
        <f>ROUND(VLOOKUP(MID($E15,4,3),'Wochentag F(WT)'!$B$7:$J$22,T$9,0),4)</f>
        <v>1.0378000000000001</v>
      </c>
      <c r="U15" s="281">
        <f>ROUND(VLOOKUP(MID($E15,4,3),'Wochentag F(WT)'!$B$7:$J$22,U$9,0),4)</f>
        <v>1.0622</v>
      </c>
      <c r="V15" s="281">
        <f>ROUND(VLOOKUP(MID($E15,4,3),'Wochentag F(WT)'!$B$7:$J$22,V$9,0),4)</f>
        <v>1.0266</v>
      </c>
      <c r="W15" s="281">
        <f>ROUND(VLOOKUP(MID($E15,4,3),'Wochentag F(WT)'!$B$7:$J$22,W$9,0),4)</f>
        <v>0.76290000000000002</v>
      </c>
      <c r="X15" s="282">
        <f t="shared" si="2"/>
        <v>0.91959999999999997</v>
      </c>
      <c r="Y15" s="303"/>
      <c r="Z15" s="212"/>
    </row>
    <row r="16" spans="2:26" s="143" customFormat="1">
      <c r="B16" s="144">
        <v>5</v>
      </c>
      <c r="C16" s="145" t="str">
        <f t="shared" si="0"/>
        <v>Angaben gelten für alle Netzgebiete</v>
      </c>
      <c r="D16" s="62" t="s">
        <v>248</v>
      </c>
      <c r="E16" s="165" t="s">
        <v>672</v>
      </c>
      <c r="F16" s="307" t="str">
        <f>VLOOKUP($E16,'BDEW-Standard'!$B$3:$M$94,F$9,0)</f>
        <v>BH4</v>
      </c>
      <c r="H16" s="278">
        <f>ROUND(VLOOKUP($E16,'[1]BDEW-Standard'!$B$3:$M$158,H$9,0),7)</f>
        <v>2.4595180999999999</v>
      </c>
      <c r="I16" s="278">
        <f>ROUND(VLOOKUP($E16,'[1]BDEW-Standard'!$B$3:$M$158,I$9,0),7)</f>
        <v>-35.253212400000002</v>
      </c>
      <c r="J16" s="278">
        <f>ROUND(VLOOKUP($E16,'[1]BDEW-Standard'!$B$3:$M$158,J$9,0),7)</f>
        <v>6.0587001000000003</v>
      </c>
      <c r="K16" s="278">
        <f>ROUND(VLOOKUP($E16,'[1]BDEW-Standard'!$B$3:$M$158,K$9,0),7)</f>
        <v>0.16473699999999999</v>
      </c>
      <c r="L16" s="279">
        <f>ROUND(VLOOKUP($E16,'[1]BDEW-Standard'!$B$3:$M$158,L$9,0),1)</f>
        <v>40</v>
      </c>
      <c r="M16" s="278">
        <f>ROUND(VLOOKUP($E16,'[1]BDEW-Standard'!$B$3:$M$158,M$9,0),7)</f>
        <v>0</v>
      </c>
      <c r="N16" s="278">
        <f>ROUND(VLOOKUP($E16,'[1]BDEW-Standard'!$B$3:$M$158,N$9,0),7)</f>
        <v>0</v>
      </c>
      <c r="O16" s="278">
        <f>ROUND(VLOOKUP($E16,'[1]BDEW-Standard'!$B$3:$M$158,O$9,0),7)</f>
        <v>0</v>
      </c>
      <c r="P16" s="278">
        <f>ROUND(VLOOKUP($E16,'[1]BDEW-Standard'!$B$3:$M$158,P$9,0),7)</f>
        <v>0</v>
      </c>
      <c r="Q16" s="280">
        <f t="shared" si="1"/>
        <v>1.043802057143173</v>
      </c>
      <c r="R16" s="281">
        <f>ROUND(VLOOKUP(MID($E16,4,3),'Wochentag F(WT)'!$B$7:$J$22,R$9,0),4)</f>
        <v>0.97670000000000001</v>
      </c>
      <c r="S16" s="281">
        <f>ROUND(VLOOKUP(MID($E16,4,3),'Wochentag F(WT)'!$B$7:$J$22,S$9,0),4)</f>
        <v>1.0388999999999999</v>
      </c>
      <c r="T16" s="281">
        <f>ROUND(VLOOKUP(MID($E16,4,3),'Wochentag F(WT)'!$B$7:$J$22,T$9,0),4)</f>
        <v>1.0027999999999999</v>
      </c>
      <c r="U16" s="281">
        <f>ROUND(VLOOKUP(MID($E16,4,3),'Wochentag F(WT)'!$B$7:$J$22,U$9,0),4)</f>
        <v>1.0162</v>
      </c>
      <c r="V16" s="281">
        <f>ROUND(VLOOKUP(MID($E16,4,3),'Wochentag F(WT)'!$B$7:$J$22,V$9,0),4)</f>
        <v>1.0024</v>
      </c>
      <c r="W16" s="281">
        <f>ROUND(VLOOKUP(MID($E16,4,3),'Wochentag F(WT)'!$B$7:$J$22,W$9,0),4)</f>
        <v>1.0043</v>
      </c>
      <c r="X16" s="282">
        <f t="shared" si="2"/>
        <v>0.95870000000000122</v>
      </c>
      <c r="Y16" s="303"/>
      <c r="Z16" s="212"/>
    </row>
    <row r="17" spans="2:26" s="143" customFormat="1">
      <c r="B17" s="144">
        <v>6</v>
      </c>
      <c r="C17" s="145" t="str">
        <f t="shared" si="0"/>
        <v>Angaben gelten für alle Netzgebiete</v>
      </c>
      <c r="D17" s="62" t="s">
        <v>248</v>
      </c>
      <c r="E17" s="165" t="s">
        <v>673</v>
      </c>
      <c r="F17" s="307" t="str">
        <f>VLOOKUP($E17,'BDEW-Standard'!$B$3:$M$94,F$9,0)</f>
        <v>GA4</v>
      </c>
      <c r="H17" s="278">
        <f>ROUND(VLOOKUP($E17,'[1]BDEW-Standard'!$B$3:$M$158,H$9,0),7)</f>
        <v>2.8195655999999998</v>
      </c>
      <c r="I17" s="278">
        <f>ROUND(VLOOKUP($E17,'[1]BDEW-Standard'!$B$3:$M$158,I$9,0),7)</f>
        <v>-36</v>
      </c>
      <c r="J17" s="278">
        <f>ROUND(VLOOKUP($E17,'[1]BDEW-Standard'!$B$3:$M$158,J$9,0),7)</f>
        <v>7.7368518000000002</v>
      </c>
      <c r="K17" s="278">
        <f>ROUND(VLOOKUP($E17,'[1]BDEW-Standard'!$B$3:$M$158,K$9,0),7)</f>
        <v>0.157281</v>
      </c>
      <c r="L17" s="279">
        <f>ROUND(VLOOKUP($E17,'[1]BDEW-Standard'!$B$3:$M$158,L$9,0),1)</f>
        <v>40</v>
      </c>
      <c r="M17" s="278">
        <f>ROUND(VLOOKUP($E17,'[1]BDEW-Standard'!$B$3:$M$158,M$9,0),7)</f>
        <v>0</v>
      </c>
      <c r="N17" s="278">
        <f>ROUND(VLOOKUP($E17,'[1]BDEW-Standard'!$B$3:$M$158,N$9,0),7)</f>
        <v>0</v>
      </c>
      <c r="O17" s="278">
        <f>ROUND(VLOOKUP($E17,'[1]BDEW-Standard'!$B$3:$M$158,O$9,0),7)</f>
        <v>0</v>
      </c>
      <c r="P17" s="278">
        <f>ROUND(VLOOKUP($E17,'[1]BDEW-Standard'!$B$3:$M$158,P$9,0),7)</f>
        <v>0</v>
      </c>
      <c r="Q17" s="280">
        <f t="shared" si="1"/>
        <v>0.96576337685759206</v>
      </c>
      <c r="R17" s="281">
        <f>ROUND(VLOOKUP(MID($E17,4,3),'Wochentag F(WT)'!$B$7:$J$22,R$9,0),4)</f>
        <v>0.93220000000000003</v>
      </c>
      <c r="S17" s="281">
        <f>ROUND(VLOOKUP(MID($E17,4,3),'Wochentag F(WT)'!$B$7:$J$22,S$9,0),4)</f>
        <v>0.98939999999999995</v>
      </c>
      <c r="T17" s="281">
        <f>ROUND(VLOOKUP(MID($E17,4,3),'Wochentag F(WT)'!$B$7:$J$22,T$9,0),4)</f>
        <v>1.0033000000000001</v>
      </c>
      <c r="U17" s="281">
        <f>ROUND(VLOOKUP(MID($E17,4,3),'Wochentag F(WT)'!$B$7:$J$22,U$9,0),4)</f>
        <v>1.0108999999999999</v>
      </c>
      <c r="V17" s="281">
        <f>ROUND(VLOOKUP(MID($E17,4,3),'Wochentag F(WT)'!$B$7:$J$22,V$9,0),4)</f>
        <v>1.018</v>
      </c>
      <c r="W17" s="281">
        <f>ROUND(VLOOKUP(MID($E17,4,3),'Wochentag F(WT)'!$B$7:$J$22,W$9,0),4)</f>
        <v>1.0356000000000001</v>
      </c>
      <c r="X17" s="282">
        <f t="shared" si="2"/>
        <v>1.0106000000000002</v>
      </c>
      <c r="Y17" s="303"/>
      <c r="Z17" s="212"/>
    </row>
    <row r="18" spans="2:26" s="143" customFormat="1">
      <c r="B18" s="144">
        <v>7</v>
      </c>
      <c r="C18" s="145" t="str">
        <f t="shared" si="0"/>
        <v>Angaben gelten für alle Netzgebiete</v>
      </c>
      <c r="D18" s="62" t="s">
        <v>248</v>
      </c>
      <c r="E18" s="165" t="s">
        <v>674</v>
      </c>
      <c r="F18" s="307" t="str">
        <f>VLOOKUP($E18,'BDEW-Standard'!$B$3:$M$94,F$9,0)</f>
        <v>GB4</v>
      </c>
      <c r="H18" s="278">
        <f>ROUND(VLOOKUP($E18,'[1]BDEW-Standard'!$B$3:$M$158,H$9,0),7)</f>
        <v>3.6017736</v>
      </c>
      <c r="I18" s="278">
        <f>ROUND(VLOOKUP($E18,'[1]BDEW-Standard'!$B$3:$M$158,I$9,0),7)</f>
        <v>-37.882536799999997</v>
      </c>
      <c r="J18" s="278">
        <f>ROUND(VLOOKUP($E18,'[1]BDEW-Standard'!$B$3:$M$158,J$9,0),7)</f>
        <v>6.9836070000000001</v>
      </c>
      <c r="K18" s="278">
        <f>ROUND(VLOOKUP($E18,'[1]BDEW-Standard'!$B$3:$M$158,K$9,0),7)</f>
        <v>5.4826199999999999E-2</v>
      </c>
      <c r="L18" s="279">
        <f>ROUND(VLOOKUP($E18,'[1]BDEW-Standard'!$B$3:$M$158,L$9,0),1)</f>
        <v>40</v>
      </c>
      <c r="M18" s="278">
        <f>ROUND(VLOOKUP($E18,'[1]BDEW-Standard'!$B$3:$M$158,M$9,0),7)</f>
        <v>0</v>
      </c>
      <c r="N18" s="278">
        <f>ROUND(VLOOKUP($E18,'[1]BDEW-Standard'!$B$3:$M$158,N$9,0),7)</f>
        <v>0</v>
      </c>
      <c r="O18" s="278">
        <f>ROUND(VLOOKUP($E18,'[1]BDEW-Standard'!$B$3:$M$158,O$9,0),7)</f>
        <v>0</v>
      </c>
      <c r="P18" s="278">
        <f>ROUND(VLOOKUP($E18,'[1]BDEW-Standard'!$B$3:$M$158,P$9,0),7)</f>
        <v>0</v>
      </c>
      <c r="Q18" s="280">
        <f t="shared" si="1"/>
        <v>0.90239375975311864</v>
      </c>
      <c r="R18" s="281">
        <f>ROUND(VLOOKUP(MID($E18,4,3),'Wochentag F(WT)'!$B$7:$J$22,R$9,0),4)</f>
        <v>0.98970000000000002</v>
      </c>
      <c r="S18" s="281">
        <f>ROUND(VLOOKUP(MID($E18,4,3),'Wochentag F(WT)'!$B$7:$J$22,S$9,0),4)</f>
        <v>0.9627</v>
      </c>
      <c r="T18" s="281">
        <f>ROUND(VLOOKUP(MID($E18,4,3),'Wochentag F(WT)'!$B$7:$J$22,T$9,0),4)</f>
        <v>1.0507</v>
      </c>
      <c r="U18" s="281">
        <f>ROUND(VLOOKUP(MID($E18,4,3),'Wochentag F(WT)'!$B$7:$J$22,U$9,0),4)</f>
        <v>1.0551999999999999</v>
      </c>
      <c r="V18" s="281">
        <f>ROUND(VLOOKUP(MID($E18,4,3),'Wochentag F(WT)'!$B$7:$J$22,V$9,0),4)</f>
        <v>1.0297000000000001</v>
      </c>
      <c r="W18" s="281">
        <f>ROUND(VLOOKUP(MID($E18,4,3),'Wochentag F(WT)'!$B$7:$J$22,W$9,0),4)</f>
        <v>0.97670000000000001</v>
      </c>
      <c r="X18" s="282">
        <f t="shared" si="2"/>
        <v>0.9352999999999998</v>
      </c>
      <c r="Y18" s="303"/>
      <c r="Z18" s="212"/>
    </row>
    <row r="19" spans="2:26" s="143" customFormat="1">
      <c r="B19" s="144">
        <v>8</v>
      </c>
      <c r="C19" s="145" t="str">
        <f t="shared" si="0"/>
        <v>Angaben gelten für alle Netzgebiete</v>
      </c>
      <c r="D19" s="62" t="s">
        <v>248</v>
      </c>
      <c r="E19" s="165" t="s">
        <v>675</v>
      </c>
      <c r="F19" s="307" t="str">
        <f>VLOOKUP($E19,'BDEW-Standard'!$B$3:$M$94,F$9,0)</f>
        <v>HA4</v>
      </c>
      <c r="H19" s="278">
        <f>ROUND(VLOOKUP($E19,'[1]BDEW-Standard'!$B$3:$M$158,H$9,0),7)</f>
        <v>4.0196902000000003</v>
      </c>
      <c r="I19" s="278">
        <f>ROUND(VLOOKUP($E19,'[1]BDEW-Standard'!$B$3:$M$158,I$9,0),7)</f>
        <v>-37.828203700000003</v>
      </c>
      <c r="J19" s="278">
        <f>ROUND(VLOOKUP($E19,'[1]BDEW-Standard'!$B$3:$M$158,J$9,0),7)</f>
        <v>8.1593368999999996</v>
      </c>
      <c r="K19" s="278">
        <f>ROUND(VLOOKUP($E19,'[1]BDEW-Standard'!$B$3:$M$158,K$9,0),7)</f>
        <v>4.72845E-2</v>
      </c>
      <c r="L19" s="279">
        <f>ROUND(VLOOKUP($E19,'[1]BDEW-Standard'!$B$3:$M$158,L$9,0),1)</f>
        <v>40</v>
      </c>
      <c r="M19" s="278">
        <f>ROUND(VLOOKUP($E19,'[1]BDEW-Standard'!$B$3:$M$158,M$9,0),7)</f>
        <v>0</v>
      </c>
      <c r="N19" s="278">
        <f>ROUND(VLOOKUP($E19,'[1]BDEW-Standard'!$B$3:$M$158,N$9,0),7)</f>
        <v>0</v>
      </c>
      <c r="O19" s="278">
        <f>ROUND(VLOOKUP($E19,'[1]BDEW-Standard'!$B$3:$M$158,O$9,0),7)</f>
        <v>0</v>
      </c>
      <c r="P19" s="278">
        <f>ROUND(VLOOKUP($E19,'[1]BDEW-Standard'!$B$3:$M$158,P$9,0),7)</f>
        <v>0</v>
      </c>
      <c r="Q19" s="280">
        <f t="shared" si="1"/>
        <v>0.86486713303260787</v>
      </c>
      <c r="R19" s="281">
        <f>ROUND(VLOOKUP(MID($E19,4,3),'Wochentag F(WT)'!$B$7:$J$22,R$9,0),4)</f>
        <v>1.0358000000000001</v>
      </c>
      <c r="S19" s="281">
        <f>ROUND(VLOOKUP(MID($E19,4,3),'Wochentag F(WT)'!$B$7:$J$22,S$9,0),4)</f>
        <v>1.0232000000000001</v>
      </c>
      <c r="T19" s="281">
        <f>ROUND(VLOOKUP(MID($E19,4,3),'Wochentag F(WT)'!$B$7:$J$22,T$9,0),4)</f>
        <v>1.0251999999999999</v>
      </c>
      <c r="U19" s="281">
        <f>ROUND(VLOOKUP(MID($E19,4,3),'Wochentag F(WT)'!$B$7:$J$22,U$9,0),4)</f>
        <v>1.0295000000000001</v>
      </c>
      <c r="V19" s="281">
        <f>ROUND(VLOOKUP(MID($E19,4,3),'Wochentag F(WT)'!$B$7:$J$22,V$9,0),4)</f>
        <v>1.0253000000000001</v>
      </c>
      <c r="W19" s="281">
        <f>ROUND(VLOOKUP(MID($E19,4,3),'Wochentag F(WT)'!$B$7:$J$22,W$9,0),4)</f>
        <v>0.96750000000000003</v>
      </c>
      <c r="X19" s="282">
        <f t="shared" si="2"/>
        <v>0.89350000000000041</v>
      </c>
      <c r="Y19" s="303"/>
      <c r="Z19" s="212"/>
    </row>
    <row r="20" spans="2:26" s="143" customFormat="1">
      <c r="B20" s="144">
        <v>10</v>
      </c>
      <c r="C20" s="145" t="str">
        <f t="shared" si="0"/>
        <v>Angaben gelten für alle Netzgebiete</v>
      </c>
      <c r="D20" s="62" t="s">
        <v>248</v>
      </c>
      <c r="E20" s="165" t="s">
        <v>676</v>
      </c>
      <c r="F20" s="307" t="str">
        <f>VLOOKUP($E20,'BDEW-Standard'!$B$3:$M$94,F$9,0)</f>
        <v>KO4</v>
      </c>
      <c r="H20" s="278">
        <f>ROUND(VLOOKUP($E20,'[1]BDEW-Standard'!$B$3:$M$158,H$9,0),7)</f>
        <v>3.4428942999999999</v>
      </c>
      <c r="I20" s="278">
        <f>ROUND(VLOOKUP($E20,'[1]BDEW-Standard'!$B$3:$M$158,I$9,0),7)</f>
        <v>-36.659050399999998</v>
      </c>
      <c r="J20" s="278">
        <f>ROUND(VLOOKUP($E20,'[1]BDEW-Standard'!$B$3:$M$158,J$9,0),7)</f>
        <v>7.6083226000000002</v>
      </c>
      <c r="K20" s="278">
        <f>ROUND(VLOOKUP($E20,'[1]BDEW-Standard'!$B$3:$M$158,K$9,0),7)</f>
        <v>7.4685000000000001E-2</v>
      </c>
      <c r="L20" s="279">
        <f>ROUND(VLOOKUP($E20,'[1]BDEW-Standard'!$B$3:$M$158,L$9,0),1)</f>
        <v>40</v>
      </c>
      <c r="M20" s="278">
        <f>ROUND(VLOOKUP($E20,'[1]BDEW-Standard'!$B$3:$M$158,M$9,0),7)</f>
        <v>0</v>
      </c>
      <c r="N20" s="278">
        <f>ROUND(VLOOKUP($E20,'[1]BDEW-Standard'!$B$3:$M$158,N$9,0),7)</f>
        <v>0</v>
      </c>
      <c r="O20" s="278">
        <f>ROUND(VLOOKUP($E20,'[1]BDEW-Standard'!$B$3:$M$158,O$9,0),7)</f>
        <v>0</v>
      </c>
      <c r="P20" s="278">
        <f>ROUND(VLOOKUP($E20,'[1]BDEW-Standard'!$B$3:$M$158,P$9,0),7)</f>
        <v>0</v>
      </c>
      <c r="Q20" s="280">
        <f>($H20/(1+($I20/($Q$9-$L20))^$J20)+$K20)+MAX($M20*$Q$9+$N20,$O20*$Q$9+$P20)</f>
        <v>0.97768382110526542</v>
      </c>
      <c r="R20" s="281">
        <f>ROUND(VLOOKUP(MID($E20,4,3),'Wochentag F(WT)'!$B$7:$J$22,R$9,0),4)</f>
        <v>1.0354000000000001</v>
      </c>
      <c r="S20" s="281">
        <f>ROUND(VLOOKUP(MID($E20,4,3),'Wochentag F(WT)'!$B$7:$J$22,S$9,0),4)</f>
        <v>1.0523</v>
      </c>
      <c r="T20" s="281">
        <f>ROUND(VLOOKUP(MID($E20,4,3),'Wochentag F(WT)'!$B$7:$J$22,T$9,0),4)</f>
        <v>1.0448999999999999</v>
      </c>
      <c r="U20" s="281">
        <f>ROUND(VLOOKUP(MID($E20,4,3),'Wochentag F(WT)'!$B$7:$J$22,U$9,0),4)</f>
        <v>1.0494000000000001</v>
      </c>
      <c r="V20" s="281">
        <f>ROUND(VLOOKUP(MID($E20,4,3),'Wochentag F(WT)'!$B$7:$J$22,V$9,0),4)</f>
        <v>0.98850000000000005</v>
      </c>
      <c r="W20" s="281">
        <f>ROUND(VLOOKUP(MID($E20,4,3),'Wochentag F(WT)'!$B$7:$J$22,W$9,0),4)</f>
        <v>0.88600000000000001</v>
      </c>
      <c r="X20" s="282">
        <f>7-SUM(R20:W20)</f>
        <v>0.94349999999999934</v>
      </c>
      <c r="Y20" s="303"/>
      <c r="Z20" s="212"/>
    </row>
    <row r="21" spans="2:26" s="143" customFormat="1">
      <c r="B21" s="144">
        <v>12</v>
      </c>
      <c r="C21" s="145" t="str">
        <f t="shared" si="0"/>
        <v>Angaben gelten für alle Netzgebiete</v>
      </c>
      <c r="D21" s="62" t="s">
        <v>248</v>
      </c>
      <c r="E21" s="165" t="s">
        <v>677</v>
      </c>
      <c r="F21" s="307" t="str">
        <f>VLOOKUP($E21,'BDEW-Standard'!$B$3:$M$94,F$9,0)</f>
        <v>MK4</v>
      </c>
      <c r="H21" s="278">
        <f>ROUND(VLOOKUP($E21,'[1]BDEW-Standard'!$B$3:$M$158,H$9,0),7)</f>
        <v>3.1177248</v>
      </c>
      <c r="I21" s="278">
        <f>ROUND(VLOOKUP($E21,'[1]BDEW-Standard'!$B$3:$M$158,I$9,0),7)</f>
        <v>-35.871506199999999</v>
      </c>
      <c r="J21" s="278">
        <f>ROUND(VLOOKUP($E21,'[1]BDEW-Standard'!$B$3:$M$158,J$9,0),7)</f>
        <v>7.5186828999999999</v>
      </c>
      <c r="K21" s="278">
        <f>ROUND(VLOOKUP($E21,'[1]BDEW-Standard'!$B$3:$M$158,K$9,0),7)</f>
        <v>3.4330100000000002E-2</v>
      </c>
      <c r="L21" s="279">
        <f>ROUND(VLOOKUP($E21,'[1]BDEW-Standard'!$B$3:$M$158,L$9,0),1)</f>
        <v>40</v>
      </c>
      <c r="M21" s="278">
        <f>ROUND(VLOOKUP($E21,'[1]BDEW-Standard'!$B$3:$M$158,M$9,0),7)</f>
        <v>0</v>
      </c>
      <c r="N21" s="278">
        <f>ROUND(VLOOKUP($E21,'[1]BDEW-Standard'!$B$3:$M$158,N$9,0),7)</f>
        <v>0</v>
      </c>
      <c r="O21" s="278">
        <f>ROUND(VLOOKUP($E21,'[1]BDEW-Standard'!$B$3:$M$158,O$9,0),7)</f>
        <v>0</v>
      </c>
      <c r="P21" s="278">
        <f>ROUND(VLOOKUP($E21,'[1]BDEW-Standard'!$B$3:$M$158,P$9,0),7)</f>
        <v>0</v>
      </c>
      <c r="Q21" s="280">
        <f>($H21/(1+($I21/($Q$9-$L21))^$J21)+$K21)+MAX($M21*$Q$9+$N21,$O21*$Q$9+$P21)</f>
        <v>0.9622064996731321</v>
      </c>
      <c r="R21" s="281">
        <f>ROUND(VLOOKUP(MID($E21,4,3),'Wochentag F(WT)'!$B$7:$J$22,R$9,0),4)</f>
        <v>1.0699000000000001</v>
      </c>
      <c r="S21" s="281">
        <f>ROUND(VLOOKUP(MID($E21,4,3),'Wochentag F(WT)'!$B$7:$J$22,S$9,0),4)</f>
        <v>1.0365</v>
      </c>
      <c r="T21" s="281">
        <f>ROUND(VLOOKUP(MID($E21,4,3),'Wochentag F(WT)'!$B$7:$J$22,T$9,0),4)</f>
        <v>0.99329999999999996</v>
      </c>
      <c r="U21" s="281">
        <f>ROUND(VLOOKUP(MID($E21,4,3),'Wochentag F(WT)'!$B$7:$J$22,U$9,0),4)</f>
        <v>0.99480000000000002</v>
      </c>
      <c r="V21" s="281">
        <f>ROUND(VLOOKUP(MID($E21,4,3),'Wochentag F(WT)'!$B$7:$J$22,V$9,0),4)</f>
        <v>1.0659000000000001</v>
      </c>
      <c r="W21" s="281">
        <f>ROUND(VLOOKUP(MID($E21,4,3),'Wochentag F(WT)'!$B$7:$J$22,W$9,0),4)</f>
        <v>0.93620000000000003</v>
      </c>
      <c r="X21" s="282">
        <f>7-SUM(R21:W21)</f>
        <v>0.90339999999999954</v>
      </c>
      <c r="Y21" s="303"/>
      <c r="Z21" s="212"/>
    </row>
    <row r="22" spans="2:26" s="143" customFormat="1">
      <c r="B22" s="144">
        <v>13</v>
      </c>
      <c r="C22" s="145" t="str">
        <f t="shared" si="0"/>
        <v>Angaben gelten für alle Netzgebiete</v>
      </c>
      <c r="D22" s="62" t="s">
        <v>248</v>
      </c>
      <c r="E22" s="165" t="s">
        <v>678</v>
      </c>
      <c r="F22" s="307" t="str">
        <f>VLOOKUP($E22,'BDEW-Standard'!$B$3:$M$94,F$9,0)</f>
        <v>PD4</v>
      </c>
      <c r="H22" s="278">
        <f>ROUND(VLOOKUP($E22,'[1]BDEW-Standard'!$B$3:$M$158,H$9,0),7)</f>
        <v>3.85</v>
      </c>
      <c r="I22" s="278">
        <f>ROUND(VLOOKUP($E22,'[1]BDEW-Standard'!$B$3:$M$158,I$9,0),7)</f>
        <v>-37</v>
      </c>
      <c r="J22" s="278">
        <f>ROUND(VLOOKUP($E22,'[1]BDEW-Standard'!$B$3:$M$158,J$9,0),7)</f>
        <v>10.2405021</v>
      </c>
      <c r="K22" s="278">
        <f>ROUND(VLOOKUP($E22,'[1]BDEW-Standard'!$B$3:$M$158,K$9,0),7)</f>
        <v>4.6924300000000002E-2</v>
      </c>
      <c r="L22" s="279">
        <f>ROUND(VLOOKUP($E22,'[1]BDEW-Standard'!$B$3:$M$158,L$9,0),1)</f>
        <v>40</v>
      </c>
      <c r="M22" s="278">
        <f>ROUND(VLOOKUP($E22,'[1]BDEW-Standard'!$B$3:$M$158,M$9,0),7)</f>
        <v>0</v>
      </c>
      <c r="N22" s="278">
        <f>ROUND(VLOOKUP($E22,'[1]BDEW-Standard'!$B$3:$M$158,N$9,0),7)</f>
        <v>0</v>
      </c>
      <c r="O22" s="278">
        <f>ROUND(VLOOKUP($E22,'[1]BDEW-Standard'!$B$3:$M$158,O$9,0),7)</f>
        <v>0</v>
      </c>
      <c r="P22" s="278">
        <f>ROUND(VLOOKUP($E22,'[1]BDEW-Standard'!$B$3:$M$158,P$9,0),7)</f>
        <v>0</v>
      </c>
      <c r="Q22" s="280">
        <f>($H22/(1+($I22/($Q$9-$L22))^$J22)+$K22)+MAX($M22*$Q$9+$N22,$O22*$Q$9+$P22)</f>
        <v>0.75691065279879233</v>
      </c>
      <c r="R22" s="281">
        <f>ROUND(VLOOKUP(MID($E22,4,3),'Wochentag F(WT)'!$B$7:$J$22,R$9,0),4)</f>
        <v>1.0214000000000001</v>
      </c>
      <c r="S22" s="281">
        <f>ROUND(VLOOKUP(MID($E22,4,3),'Wochentag F(WT)'!$B$7:$J$22,S$9,0),4)</f>
        <v>1.0866</v>
      </c>
      <c r="T22" s="281">
        <f>ROUND(VLOOKUP(MID($E22,4,3),'Wochentag F(WT)'!$B$7:$J$22,T$9,0),4)</f>
        <v>1.0720000000000001</v>
      </c>
      <c r="U22" s="281">
        <f>ROUND(VLOOKUP(MID($E22,4,3),'Wochentag F(WT)'!$B$7:$J$22,U$9,0),4)</f>
        <v>1.0557000000000001</v>
      </c>
      <c r="V22" s="281">
        <f>ROUND(VLOOKUP(MID($E22,4,3),'Wochentag F(WT)'!$B$7:$J$22,V$9,0),4)</f>
        <v>1.0117</v>
      </c>
      <c r="W22" s="281">
        <f>ROUND(VLOOKUP(MID($E22,4,3),'Wochentag F(WT)'!$B$7:$J$22,W$9,0),4)</f>
        <v>0.90010000000000001</v>
      </c>
      <c r="X22" s="282">
        <f>7-SUM(R22:W22)</f>
        <v>0.85249999999999915</v>
      </c>
      <c r="Y22" s="303"/>
      <c r="Z22" s="212"/>
    </row>
    <row r="23" spans="2:26" s="143" customFormat="1">
      <c r="B23" s="144">
        <v>14</v>
      </c>
      <c r="C23" s="145" t="str">
        <f t="shared" si="0"/>
        <v>Angaben gelten für alle Netzgebiete</v>
      </c>
      <c r="D23" s="62" t="s">
        <v>248</v>
      </c>
      <c r="E23" s="165" t="s">
        <v>679</v>
      </c>
      <c r="F23" s="307" t="str">
        <f>VLOOKUP($E23,'BDEW-Standard'!$B$3:$M$94,F$9,0)</f>
        <v>WA4</v>
      </c>
      <c r="H23" s="278">
        <f>ROUND(VLOOKUP($E23,'[1]BDEW-Standard'!$B$3:$M$158,H$9,0),7)</f>
        <v>1.0535874999999999</v>
      </c>
      <c r="I23" s="278">
        <f>ROUND(VLOOKUP($E23,'[1]BDEW-Standard'!$B$3:$M$158,I$9,0),7)</f>
        <v>-35.299999999999997</v>
      </c>
      <c r="J23" s="278">
        <f>ROUND(VLOOKUP($E23,'[1]BDEW-Standard'!$B$3:$M$158,J$9,0),7)</f>
        <v>4.8662747</v>
      </c>
      <c r="K23" s="278">
        <f>ROUND(VLOOKUP($E23,'[1]BDEW-Standard'!$B$3:$M$158,K$9,0),7)</f>
        <v>0.68110420000000005</v>
      </c>
      <c r="L23" s="279">
        <f>ROUND(VLOOKUP($E23,'[1]BDEW-Standard'!$B$3:$M$158,L$9,0),1)</f>
        <v>40</v>
      </c>
      <c r="M23" s="278">
        <f>ROUND(VLOOKUP($E23,'[1]BDEW-Standard'!$B$3:$M$158,M$9,0),7)</f>
        <v>0</v>
      </c>
      <c r="N23" s="278">
        <f>ROUND(VLOOKUP($E23,'[1]BDEW-Standard'!$B$3:$M$158,N$9,0),7)</f>
        <v>0</v>
      </c>
      <c r="O23" s="278">
        <f>ROUND(VLOOKUP($E23,'[1]BDEW-Standard'!$B$3:$M$158,O$9,0),7)</f>
        <v>0</v>
      </c>
      <c r="P23" s="278">
        <f>ROUND(VLOOKUP($E23,'[1]BDEW-Standard'!$B$3:$M$158,P$9,0),7)</f>
        <v>0</v>
      </c>
      <c r="Q23" s="280">
        <f>($H23/(1+($I23/($Q$9-$L23))^$J23)+$K23)+MAX($M23*$Q$9+$N23,$O23*$Q$9+$P23)</f>
        <v>1.0844348950990992</v>
      </c>
      <c r="R23" s="281">
        <f>ROUND(VLOOKUP(MID($E23,4,3),'Wochentag F(WT)'!$B$7:$J$22,R$9,0),4)</f>
        <v>1.2457</v>
      </c>
      <c r="S23" s="281">
        <f>ROUND(VLOOKUP(MID($E23,4,3),'Wochentag F(WT)'!$B$7:$J$22,S$9,0),4)</f>
        <v>1.2615000000000001</v>
      </c>
      <c r="T23" s="281">
        <f>ROUND(VLOOKUP(MID($E23,4,3),'Wochentag F(WT)'!$B$7:$J$22,T$9,0),4)</f>
        <v>1.2706999999999999</v>
      </c>
      <c r="U23" s="281">
        <f>ROUND(VLOOKUP(MID($E23,4,3),'Wochentag F(WT)'!$B$7:$J$22,U$9,0),4)</f>
        <v>1.2430000000000001</v>
      </c>
      <c r="V23" s="281">
        <f>ROUND(VLOOKUP(MID($E23,4,3),'Wochentag F(WT)'!$B$7:$J$22,V$9,0),4)</f>
        <v>1.1275999999999999</v>
      </c>
      <c r="W23" s="281">
        <f>ROUND(VLOOKUP(MID($E23,4,3),'Wochentag F(WT)'!$B$7:$J$22,W$9,0),4)</f>
        <v>0.38769999999999999</v>
      </c>
      <c r="X23" s="282">
        <f>7-SUM(R23:W23)</f>
        <v>0.46379999999999999</v>
      </c>
      <c r="Y23" s="303"/>
      <c r="Z23" s="212"/>
    </row>
    <row r="24" spans="2:26" s="143" customFormat="1">
      <c r="B24" s="144">
        <v>15</v>
      </c>
      <c r="C24" s="145" t="str">
        <f t="shared" si="0"/>
        <v>Angaben gelten für alle Netzgebiete</v>
      </c>
      <c r="D24" s="62" t="s">
        <v>248</v>
      </c>
      <c r="E24" s="165" t="s">
        <v>4</v>
      </c>
      <c r="F24" s="307" t="str">
        <f>VLOOKUP($E24,'BDEW-Standard'!$B$3:$M$94,F$9,0)</f>
        <v>HK3</v>
      </c>
      <c r="H24" s="278">
        <f>ROUND(VLOOKUP($E24,'[1]BDEW-Standard'!$B$3:$M$158,H$9,0),7)</f>
        <v>0.40409319999999999</v>
      </c>
      <c r="I24" s="278">
        <f>ROUND(VLOOKUP($E24,'[1]BDEW-Standard'!$B$3:$M$158,I$9,0),7)</f>
        <v>-24.439296800000001</v>
      </c>
      <c r="J24" s="278">
        <f>ROUND(VLOOKUP($E24,'[1]BDEW-Standard'!$B$3:$M$158,J$9,0),7)</f>
        <v>6.5718174999999999</v>
      </c>
      <c r="K24" s="278">
        <f>ROUND(VLOOKUP($E24,'[1]BDEW-Standard'!$B$3:$M$158,K$9,0),7)</f>
        <v>0.71077100000000004</v>
      </c>
      <c r="L24" s="279">
        <f>ROUND(VLOOKUP($E24,'[1]BDEW-Standard'!$B$3:$M$158,L$9,0),1)</f>
        <v>40</v>
      </c>
      <c r="M24" s="278">
        <f>ROUND(VLOOKUP($E24,'[1]BDEW-Standard'!$B$3:$M$158,M$9,0),7)</f>
        <v>0</v>
      </c>
      <c r="N24" s="278">
        <f>ROUND(VLOOKUP($E24,'[1]BDEW-Standard'!$B$3:$M$158,N$9,0),7)</f>
        <v>0</v>
      </c>
      <c r="O24" s="278">
        <f>ROUND(VLOOKUP($E24,'[1]BDEW-Standard'!$B$3:$M$158,O$9,0),7)</f>
        <v>0</v>
      </c>
      <c r="P24" s="278">
        <f>ROUND(VLOOKUP($E24,'[1]BDEW-Standard'!$B$3:$M$158,P$9,0),7)</f>
        <v>0</v>
      </c>
      <c r="Q24" s="280">
        <f>($H24/(1+($I24/($Q$9-$L24))^$J24)+$K24)+MAX($M24*$Q$9+$N24,$O24*$Q$9+$P24)</f>
        <v>1.0561214000512988</v>
      </c>
      <c r="R24" s="281">
        <f>ROUND(VLOOKUP(MID($E24,4,3),'Wochentag F(WT)'!$B$7:$J$22,R$9,0),4)</f>
        <v>1</v>
      </c>
      <c r="S24" s="281">
        <f>ROUND(VLOOKUP(MID($E24,4,3),'Wochentag F(WT)'!$B$7:$J$22,S$9,0),4)</f>
        <v>1</v>
      </c>
      <c r="T24" s="281">
        <f>ROUND(VLOOKUP(MID($E24,4,3),'Wochentag F(WT)'!$B$7:$J$22,T$9,0),4)</f>
        <v>1</v>
      </c>
      <c r="U24" s="281">
        <f>ROUND(VLOOKUP(MID($E24,4,3),'Wochentag F(WT)'!$B$7:$J$22,U$9,0),4)</f>
        <v>1</v>
      </c>
      <c r="V24" s="281">
        <f>ROUND(VLOOKUP(MID($E24,4,3),'Wochentag F(WT)'!$B$7:$J$22,V$9,0),4)</f>
        <v>1</v>
      </c>
      <c r="W24" s="281">
        <f>ROUND(VLOOKUP(MID($E24,4,3),'Wochentag F(WT)'!$B$7:$J$22,W$9,0),4)</f>
        <v>1</v>
      </c>
      <c r="X24" s="282">
        <f>7-SUM(R24:W24)</f>
        <v>1</v>
      </c>
      <c r="Y24" s="303"/>
      <c r="Z24" s="212"/>
    </row>
    <row r="25" spans="2:26">
      <c r="D25" s="62"/>
      <c r="E25" s="166"/>
      <c r="F25" s="307"/>
      <c r="G25" s="143"/>
      <c r="H25" s="283"/>
      <c r="I25" s="283"/>
      <c r="J25" s="283"/>
      <c r="K25" s="283"/>
      <c r="L25" s="279"/>
      <c r="M25" s="283"/>
      <c r="N25" s="283"/>
      <c r="O25" s="283"/>
      <c r="P25" s="283"/>
      <c r="Q25" s="284"/>
      <c r="R25" s="285"/>
      <c r="S25" s="285"/>
      <c r="T25" s="285"/>
      <c r="U25" s="285"/>
      <c r="V25" s="285"/>
      <c r="W25" s="285"/>
      <c r="X25" s="286"/>
      <c r="Y25" s="303"/>
    </row>
    <row r="26" spans="2:26">
      <c r="D26" s="62"/>
      <c r="E26" s="166"/>
      <c r="F26" s="307"/>
      <c r="G26" s="143"/>
      <c r="H26" s="283"/>
      <c r="I26" s="283"/>
      <c r="J26" s="283"/>
      <c r="K26" s="283"/>
      <c r="L26" s="279"/>
      <c r="M26" s="283"/>
      <c r="N26" s="283"/>
      <c r="O26" s="283"/>
      <c r="P26" s="283"/>
      <c r="Q26" s="284"/>
      <c r="R26" s="285"/>
      <c r="S26" s="285"/>
      <c r="T26" s="285"/>
      <c r="U26" s="285"/>
      <c r="V26" s="285"/>
      <c r="W26" s="285"/>
      <c r="X26" s="286"/>
      <c r="Y26" s="303"/>
    </row>
    <row r="27" spans="2:26" s="143" customFormat="1">
      <c r="B27" s="144">
        <v>16</v>
      </c>
      <c r="C27" s="145" t="str">
        <f t="shared" si="0"/>
        <v>Angaben gelten für alle Netzgebiete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Angaben gelten für alle Netzgebiete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Angaben gelten für alle Netzgebiete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Angaben gelten für alle Netzgebiete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Angaben gelten für alle Netzgebiete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Angaben gelten für alle Netzgebiete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Angaben gelten für alle Netzgebiete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Angaben gelten für alle Netzgebiete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Angaben gelten für alle Netzgebiete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Angaben gelten für alle Netzgebiete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Angaben gelten für alle Netzgebiete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Angaben gelten für alle Netzgebiete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Angaben gelten für alle Netzgebiete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Angaben gelten für alle Netzgebiete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Angaben gelten für alle Netzgebiete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0" priority="38"/>
  </conditionalFormatting>
  <dataValidations count="2">
    <dataValidation errorStyle="warning" allowBlank="1" showInputMessage="1" showErrorMessage="1" errorTitle="Profil-Art" error="Bitte Profilwahl gemäß Auswahlfeld" sqref="D11" xr:uid="{00000000-0002-0000-0500-000001000000}"/>
    <dataValidation type="list" errorStyle="warning" allowBlank="1" showInputMessage="1" showErrorMessage="1" errorTitle="Profil-Art" error="Bitte Profilwahl gemäß Auswahlfeld" sqref="D12:D24 D27:D41" xr:uid="{00000000-0002-0000-0500-000000000000}">
      <formula1>"BDEW,Ind.-Koef."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E11:E24 E27:E41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Stadtwerke Radolfzell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Angaben gelten für alle Netzgebiete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 t="str">
        <f>Netzbetreiber!$D$11</f>
        <v>9870100500007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45231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455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59" t="s">
        <v>583</v>
      </c>
      <c r="C10" s="360"/>
      <c r="D10" s="94">
        <v>2</v>
      </c>
      <c r="E10" s="95" t="str">
        <f>IF(ISERROR(HLOOKUP(E$11,$M$9:$AD$35,$D10,0)),"",HLOOKUP(E$11,$M$9:$AD$35,$D10,0))</f>
        <v/>
      </c>
      <c r="F10" s="357" t="s">
        <v>395</v>
      </c>
      <c r="G10" s="357"/>
      <c r="H10" s="357"/>
      <c r="I10" s="357"/>
      <c r="J10" s="357"/>
      <c r="K10" s="357"/>
      <c r="L10" s="358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1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1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1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1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6" priority="9">
      <formula>IF(E$11="NB",1,0)</formula>
    </cfRule>
  </conditionalFormatting>
  <conditionalFormatting sqref="F12:L35">
    <cfRule type="expression" dxfId="5" priority="6">
      <formula>IF($E12=1,1,0)</formula>
    </cfRule>
  </conditionalFormatting>
  <conditionalFormatting sqref="M12:AD35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61" t="s">
        <v>249</v>
      </c>
      <c r="B3" s="238" t="s">
        <v>86</v>
      </c>
      <c r="C3" s="239"/>
      <c r="D3" s="363" t="s">
        <v>454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Kohnke, Michael</cp:lastModifiedBy>
  <cp:lastPrinted>2015-03-20T22:59:10Z</cp:lastPrinted>
  <dcterms:created xsi:type="dcterms:W3CDTF">2015-01-15T05:25:41Z</dcterms:created>
  <dcterms:modified xsi:type="dcterms:W3CDTF">2023-09-18T12:39:13Z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